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90" windowHeight="7545" tabRatio="991" activeTab="0"/>
  </bookViews>
  <sheets>
    <sheet name="ITINERÁRIO I - 7 ALUNOS" sheetId="1" r:id="rId1"/>
    <sheet name="ITINERÁRIO II - 10 ALUNOS " sheetId="2" r:id="rId2"/>
    <sheet name="ITINERÁRIO III - 21 ALUNOS " sheetId="3" r:id="rId3"/>
    <sheet name="ITINERÁRIO IV - 7 ALUNOS" sheetId="4" r:id="rId4"/>
    <sheet name="ITINERÁRIO V - 13 ALUNOS" sheetId="5" r:id="rId5"/>
    <sheet name="ITINERÁRIO VI - 16 ALUNOS" sheetId="6" r:id="rId6"/>
    <sheet name="ITINERÁRIO VII - 16 ALUNOS" sheetId="7" r:id="rId7"/>
    <sheet name="ITINERÁRIO VIII  - 22 ALUNOS" sheetId="8" r:id="rId8"/>
  </sheets>
  <externalReferences>
    <externalReference r:id="rId11"/>
  </externalReferences>
  <definedNames>
    <definedName name="_xlfn.BAHTTEXT" hidden="1">#NAME?</definedName>
    <definedName name="_xlfn.NUMBERVALUE" hidden="1">#NAME?</definedName>
    <definedName name="_xlnm.Print_Area" localSheetId="0">'ITINERÁRIO I - 7 ALUNOS'!$A$1:$G$58</definedName>
    <definedName name="_xlnm.Print_Area" localSheetId="1">'ITINERÁRIO II - 10 ALUNOS '!$A$1:$G$58</definedName>
    <definedName name="_xlnm.Print_Area" localSheetId="2">'ITINERÁRIO III - 21 ALUNOS '!$A$1:$G$58</definedName>
    <definedName name="_xlnm.Print_Area" localSheetId="3">'ITINERÁRIO IV - 7 ALUNOS'!$A$1:$G$58</definedName>
    <definedName name="_xlnm.Print_Area" localSheetId="4">'ITINERÁRIO V - 13 ALUNOS'!$A$1:$G$58</definedName>
    <definedName name="_xlnm.Print_Area" localSheetId="5">'ITINERÁRIO VI - 16 ALUNOS'!$A$1:$G$58</definedName>
    <definedName name="_xlnm.Print_Area" localSheetId="6">'ITINERÁRIO VII - 16 ALUNOS'!$A$1:$G$58</definedName>
    <definedName name="_xlnm.Print_Area" localSheetId="7">'ITINERÁRIO VIII  - 22 ALUNOS'!$A$1:$G$58</definedName>
    <definedName name="LO25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<sst xmlns="http://schemas.openxmlformats.org/spreadsheetml/2006/main" count="504" uniqueCount="67">
  <si>
    <t>TURNO</t>
  </si>
  <si>
    <t>MANHÃ</t>
  </si>
  <si>
    <t>TARDE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</si>
  <si>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</si>
  <si>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</si>
  <si>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</si>
  <si>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</si>
  <si>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</si>
  <si>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</si>
  <si>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</si>
  <si>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</si>
  <si>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</si>
  <si>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</si>
  <si>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</si>
  <si>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</si>
  <si>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IMPOSTOS</t>
  </si>
  <si>
    <t>CUSTO FIXO</t>
  </si>
  <si>
    <t>LICENCIAMENTO</t>
  </si>
  <si>
    <t>ESCRITÓRIO</t>
  </si>
  <si>
    <t>MOTORISTA</t>
  </si>
  <si>
    <t>SALÁRIO</t>
  </si>
  <si>
    <t>FGTS</t>
  </si>
  <si>
    <t>PREÇO</t>
  </si>
  <si>
    <t>RETORNO INVESTIMENTO</t>
  </si>
  <si>
    <t>LUCRO</t>
  </si>
  <si>
    <t>LUCRO MÊS</t>
  </si>
  <si>
    <t>FIXO MENSAL</t>
  </si>
  <si>
    <t>COMB</t>
  </si>
  <si>
    <t>MANUT</t>
  </si>
  <si>
    <t>OUTROS</t>
  </si>
  <si>
    <t>NOITE</t>
  </si>
  <si>
    <t>MOTORIS</t>
  </si>
  <si>
    <t>DEFINIÇÃO DO PREÇO</t>
  </si>
  <si>
    <t>QUANT, DE MOTORISTAS</t>
  </si>
  <si>
    <t>Tempo conduzindo o veículo</t>
  </si>
  <si>
    <t>Tempo de espera</t>
  </si>
  <si>
    <t>Mensal</t>
  </si>
  <si>
    <t>Viagem</t>
  </si>
  <si>
    <t>Tempo total (horas)</t>
  </si>
  <si>
    <t>km pavimentado</t>
  </si>
  <si>
    <r>
      <t>¹</t>
    </r>
    <r>
      <rPr>
        <b/>
        <sz val="12"/>
        <rFont val="Arial"/>
        <family val="2"/>
      </rPr>
      <t>Sem Pavimentação</t>
    </r>
  </si>
  <si>
    <t>PREÇO/Km Simples</t>
  </si>
  <si>
    <t>PREÇO/Km TOTAL</t>
  </si>
  <si>
    <t>PREÇO / %</t>
  </si>
  <si>
    <t>VISTORIA</t>
  </si>
  <si>
    <t>Férias 11,11%</t>
  </si>
  <si>
    <t xml:space="preserve">R$ seguro / aluno / mes </t>
  </si>
  <si>
    <t>PRESUMIDO</t>
  </si>
  <si>
    <t>SEGURO ALUNOS TOTAL</t>
  </si>
  <si>
    <t>13º S.8,33</t>
  </si>
  <si>
    <t>TOTAL (Comb + Manut)</t>
  </si>
  <si>
    <t>TOTAL GASTOS FIXOS</t>
  </si>
  <si>
    <t>DEPRECIAÇÃO/C. CAPITAL</t>
  </si>
  <si>
    <t xml:space="preserve">d)     Valor máximo por viagem </t>
  </si>
  <si>
    <t>TAXA USO VEÍCULO</t>
  </si>
  <si>
    <t>SEGURO OBRIGATÓRIO</t>
  </si>
  <si>
    <t>R$ Veículo no máximo 15 anos de uso (2005)</t>
  </si>
  <si>
    <t>SIMPLES NACIONAL</t>
  </si>
  <si>
    <t>TOTAL IMPOSTOS</t>
  </si>
  <si>
    <t xml:space="preserve">ITINERÁRIO I </t>
  </si>
  <si>
    <t>ITINERÁRIO II</t>
  </si>
  <si>
    <t>ITINERÁRIO III</t>
  </si>
  <si>
    <t>ITINERÁRIO IV</t>
  </si>
  <si>
    <t>ITINERÁRIO V</t>
  </si>
  <si>
    <t>ITINERÁRIO VI</t>
  </si>
  <si>
    <t>ITINERÁRIO VII</t>
  </si>
  <si>
    <t>ITINERÁRIO VIII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</si>
</sst>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&quot;R$&quot;\ #,##0_);\(&quot;R$&quot;\ #,##0\)"/>
    <numFmt numFmtId="187" formatCode="&quot;R$&quot;\ #,##0_);[Red]\(&quot;R$&quot;\ #,##0\)"/>
    <numFmt numFmtId="188" formatCode="&quot;R$&quot;\ #,##0.00_);\(&quot;R$&quot;\ #,##0.00\)"/>
    <numFmt numFmtId="189" formatCode="&quot;R$&quot;\ #,##0.00_);[Red]\(&quot;R$&quot;\ #,##0.00\)"/>
    <numFmt numFmtId="190" formatCode="_(&quot;R$&quot;\ * #,##0_);_(&quot;R$&quot;\ * \(#,##0\);_(&quot;R$&quot;\ * &quot;-&quot;_);_(@_)"/>
    <numFmt numFmtId="191" formatCode="_(&quot;R$&quot;\ * #,##0.00_);_(&quot;R$&quot;\ * \(#,##0.00\);_(&quot;R$&quot;\ * &quot;-&quot;??_);_(@_)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#,##0.0"/>
    <numFmt numFmtId="196" formatCode="0.0000%"/>
    <numFmt numFmtId="197" formatCode="#,##0.0000"/>
    <numFmt numFmtId="198" formatCode="&quot;R$&quot;\ #,##0.00"/>
    <numFmt numFmtId="199" formatCode="&quot;R$ &quot;#,##0.00"/>
    <numFmt numFmtId="200" formatCode="0.00;[Red]0.00"/>
    <numFmt numFmtId="201" formatCode="0.0"/>
    <numFmt numFmtId="202" formatCode="_(* #,##0_);_(* \(#,##0\);_(* &quot;-&quot;??_);_(@_)"/>
    <numFmt numFmtId="203" formatCode="0.000"/>
    <numFmt numFmtId="204" formatCode="0.0%"/>
    <numFmt numFmtId="205" formatCode="[$-416]dddd\,\ d&quot; de &quot;mmmm&quot; de &quot;yyyy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63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Border="1" applyAlignment="1">
      <alignment horizontal="left"/>
    </xf>
    <xf numFmtId="4" fontId="1" fillId="0" borderId="10" xfId="0" applyFont="1" applyBorder="1" applyAlignment="1">
      <alignment horizontal="center"/>
    </xf>
    <xf numFmtId="4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4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2" fillId="0" borderId="0" xfId="0" applyFont="1" applyBorder="1" applyAlignment="1">
      <alignment horizontal="center"/>
    </xf>
    <xf numFmtId="4" fontId="1" fillId="0" borderId="0" xfId="0" applyFont="1" applyBorder="1" applyAlignment="1">
      <alignment/>
    </xf>
    <xf numFmtId="4" fontId="2" fillId="0" borderId="10" xfId="0" applyFont="1" applyBorder="1" applyAlignment="1">
      <alignment/>
    </xf>
    <xf numFmtId="4" fontId="2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4" fontId="2" fillId="0" borderId="0" xfId="0" applyFont="1" applyAlignment="1">
      <alignment horizontal="left"/>
    </xf>
    <xf numFmtId="4" fontId="1" fillId="0" borderId="0" xfId="0" applyFont="1" applyAlignment="1">
      <alignment horizontal="left"/>
    </xf>
    <xf numFmtId="4" fontId="5" fillId="0" borderId="0" xfId="0" applyFont="1" applyAlignment="1">
      <alignment/>
    </xf>
    <xf numFmtId="4" fontId="1" fillId="0" borderId="0" xfId="0" applyFont="1" applyAlignment="1">
      <alignment/>
    </xf>
    <xf numFmtId="1" fontId="1" fillId="0" borderId="0" xfId="0" applyNumberFormat="1" applyFont="1" applyAlignment="1">
      <alignment/>
    </xf>
    <xf numFmtId="185" fontId="1" fillId="0" borderId="10" xfId="59" applyFont="1" applyBorder="1" applyAlignment="1">
      <alignment/>
    </xf>
    <xf numFmtId="184" fontId="2" fillId="0" borderId="10" xfId="48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10" fontId="1" fillId="34" borderId="10" xfId="54" applyNumberFormat="1" applyFont="1" applyFill="1" applyBorder="1" applyAlignment="1">
      <alignment horizontal="center"/>
    </xf>
    <xf numFmtId="4" fontId="1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4" fontId="0" fillId="0" borderId="0" xfId="0" applyBorder="1" applyAlignment="1">
      <alignment/>
    </xf>
    <xf numFmtId="184" fontId="1" fillId="36" borderId="0" xfId="46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4" fontId="41" fillId="0" borderId="11" xfId="0" applyFont="1" applyBorder="1" applyAlignment="1">
      <alignment/>
    </xf>
    <xf numFmtId="4" fontId="41" fillId="35" borderId="11" xfId="0" applyNumberFormat="1" applyFont="1" applyFill="1" applyBorder="1" applyAlignment="1">
      <alignment/>
    </xf>
    <xf numFmtId="4" fontId="41" fillId="0" borderId="10" xfId="0" applyFont="1" applyBorder="1" applyAlignment="1">
      <alignment/>
    </xf>
    <xf numFmtId="10" fontId="41" fillId="33" borderId="10" xfId="0" applyNumberFormat="1" applyFont="1" applyFill="1" applyBorder="1" applyAlignment="1">
      <alignment/>
    </xf>
    <xf numFmtId="4" fontId="41" fillId="0" borderId="0" xfId="0" applyFont="1" applyAlignment="1">
      <alignment/>
    </xf>
    <xf numFmtId="4" fontId="2" fillId="36" borderId="10" xfId="0" applyNumberFormat="1" applyFont="1" applyFill="1" applyBorder="1" applyAlignment="1">
      <alignment/>
    </xf>
    <xf numFmtId="4" fontId="2" fillId="37" borderId="12" xfId="0" applyFont="1" applyFill="1" applyBorder="1" applyAlignment="1">
      <alignment horizontal="center"/>
    </xf>
    <xf numFmtId="4" fontId="2" fillId="37" borderId="13" xfId="0" applyFont="1" applyFill="1" applyBorder="1" applyAlignment="1">
      <alignment horizontal="center"/>
    </xf>
    <xf numFmtId="4" fontId="2" fillId="37" borderId="14" xfId="0" applyFont="1" applyFill="1" applyBorder="1" applyAlignment="1">
      <alignment horizontal="center"/>
    </xf>
    <xf numFmtId="4" fontId="1" fillId="0" borderId="12" xfId="0" applyFont="1" applyBorder="1" applyAlignment="1">
      <alignment horizontal="left"/>
    </xf>
    <xf numFmtId="4" fontId="1" fillId="0" borderId="14" xfId="0" applyFont="1" applyBorder="1" applyAlignment="1">
      <alignment horizontal="left"/>
    </xf>
    <xf numFmtId="4" fontId="1" fillId="0" borderId="13" xfId="0" applyFont="1" applyBorder="1" applyAlignment="1">
      <alignment horizontal="left"/>
    </xf>
    <xf numFmtId="4" fontId="1" fillId="33" borderId="12" xfId="0" applyFont="1" applyFill="1" applyBorder="1" applyAlignment="1">
      <alignment horizontal="center"/>
    </xf>
    <xf numFmtId="4" fontId="1" fillId="33" borderId="14" xfId="0" applyFont="1" applyFill="1" applyBorder="1" applyAlignment="1">
      <alignment horizontal="center"/>
    </xf>
    <xf numFmtId="4" fontId="1" fillId="33" borderId="13" xfId="0" applyFont="1" applyFill="1" applyBorder="1" applyAlignment="1">
      <alignment horizontal="center"/>
    </xf>
    <xf numFmtId="4" fontId="1" fillId="0" borderId="14" xfId="0" applyFont="1" applyBorder="1" applyAlignment="1">
      <alignment/>
    </xf>
    <xf numFmtId="4" fontId="1" fillId="0" borderId="13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4" fontId="2" fillId="37" borderId="15" xfId="0" applyFont="1" applyFill="1" applyBorder="1" applyAlignment="1">
      <alignment horizontal="center"/>
    </xf>
    <xf numFmtId="4" fontId="2" fillId="37" borderId="0" xfId="0" applyFont="1" applyFill="1" applyBorder="1" applyAlignment="1">
      <alignment horizont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2 2" xfId="49"/>
    <cellStyle name="Moeda 3" xfId="50"/>
    <cellStyle name="Neutro" xfId="51"/>
    <cellStyle name="Normal 2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Separador de milhares 2" xfId="59"/>
    <cellStyle name="Separador de milhares 2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2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002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180975</xdr:rowOff>
    </xdr:from>
    <xdr:to>
      <xdr:col>4</xdr:col>
      <xdr:colOff>762000</xdr:colOff>
      <xdr:row>31</xdr:row>
      <xdr:rowOff>95250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3857625" y="5391150"/>
          <a:ext cx="18669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59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0</v>
      </c>
      <c r="C4" s="42">
        <v>7</v>
      </c>
      <c r="D4" s="42">
        <v>0</v>
      </c>
      <c r="E4" s="42">
        <f>SUM(B4:D4)</f>
        <v>7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46</v>
      </c>
      <c r="F5" s="1"/>
      <c r="G5" s="1"/>
    </row>
    <row r="6" spans="1:7" ht="15">
      <c r="A6" s="52" t="s">
        <v>5</v>
      </c>
      <c r="B6" s="53"/>
      <c r="C6" s="53"/>
      <c r="D6" s="54"/>
      <c r="E6" s="12">
        <v>46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46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29.761904761904763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6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867.79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607.453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1475.243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4256.546260869976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255.39277565219857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4.406362588892315</v>
      </c>
      <c r="C46" s="23">
        <f>B46*E7</f>
        <v>202.6926790890465</v>
      </c>
      <c r="D46" s="33">
        <f>B46*E7*E17</f>
        <v>4256.546260869976</v>
      </c>
      <c r="E46" s="30"/>
      <c r="F46" s="30"/>
      <c r="G46" s="1"/>
    </row>
    <row r="47" spans="1:7" ht="15.75">
      <c r="A47" s="29" t="s">
        <v>40</v>
      </c>
      <c r="B47" s="19">
        <f>(E6*0.1)*B46/100</f>
        <v>0.20269267908904653</v>
      </c>
      <c r="C47" s="23">
        <f>B47*E6</f>
        <v>9.323863238096141</v>
      </c>
      <c r="D47" s="33">
        <f>B47*E6*E17</f>
        <v>195.80112800001896</v>
      </c>
      <c r="E47" s="30"/>
      <c r="F47" s="30"/>
      <c r="G47" s="1"/>
    </row>
    <row r="48" spans="1:7" ht="15.75">
      <c r="A48" s="18" t="s">
        <v>42</v>
      </c>
      <c r="B48" s="48">
        <f>B46+B47</f>
        <v>4.609055267981361</v>
      </c>
      <c r="C48" s="19">
        <f>C46+C47</f>
        <v>212.01654232714264</v>
      </c>
      <c r="D48" s="19">
        <f>D46+D47</f>
        <v>4452.3473888699955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4256.546260869976</v>
      </c>
      <c r="B51" s="25">
        <f>B20</f>
        <v>867.79</v>
      </c>
      <c r="C51" s="26">
        <f>B21</f>
        <v>607.453</v>
      </c>
      <c r="D51" s="25">
        <f>B45</f>
        <v>255.39277565219857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0.20387185920602124</v>
      </c>
      <c r="C52" s="37">
        <f t="shared" si="0"/>
        <v>0.14271030144421487</v>
      </c>
      <c r="D52" s="37">
        <f t="shared" si="0"/>
        <v>0.06</v>
      </c>
      <c r="E52" s="37">
        <f t="shared" si="0"/>
        <v>0.3659822099811043</v>
      </c>
      <c r="F52" s="37">
        <f t="shared" si="0"/>
        <v>0.11100548920227825</v>
      </c>
      <c r="G52" s="37">
        <f t="shared" si="0"/>
        <v>0.11643014016638137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212.01654232714264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9:D9"/>
    <mergeCell ref="A55:G55"/>
    <mergeCell ref="A15:D15"/>
    <mergeCell ref="A16:D16"/>
    <mergeCell ref="A17:D17"/>
    <mergeCell ref="A19:F19"/>
    <mergeCell ref="A5:D5"/>
    <mergeCell ref="A6:D6"/>
    <mergeCell ref="A7:D7"/>
    <mergeCell ref="A8:D8"/>
    <mergeCell ref="A39:B39"/>
    <mergeCell ref="A25:H25"/>
    <mergeCell ref="A10:D10"/>
    <mergeCell ref="A11:D11"/>
    <mergeCell ref="B12:E12"/>
    <mergeCell ref="A13:D13"/>
    <mergeCell ref="A14:D14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8">
      <selection activeCell="J35" sqref="J35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60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10</v>
      </c>
      <c r="C4" s="42">
        <v>0</v>
      </c>
      <c r="D4" s="42">
        <v>0</v>
      </c>
      <c r="E4" s="42">
        <f>SUM(B4:D4)</f>
        <v>10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84</v>
      </c>
      <c r="F5" s="1"/>
      <c r="G5" s="1"/>
    </row>
    <row r="6" spans="1:7" ht="15">
      <c r="A6" s="52" t="s">
        <v>5</v>
      </c>
      <c r="B6" s="53"/>
      <c r="C6" s="53"/>
      <c r="D6" s="54"/>
      <c r="E6" s="12">
        <v>84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84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20.833333333333336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4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2376.99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1663.8929999999998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4040.883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6985.950516189126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419.1570309713475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3.9602894082704796</v>
      </c>
      <c r="C46" s="23">
        <f>B46*E7</f>
        <v>332.6643102947203</v>
      </c>
      <c r="D46" s="33">
        <f>B46*E7*E17</f>
        <v>6985.950516189126</v>
      </c>
      <c r="E46" s="30"/>
      <c r="F46" s="30"/>
      <c r="G46" s="1"/>
    </row>
    <row r="47" spans="1:7" ht="15.75">
      <c r="A47" s="29" t="s">
        <v>40</v>
      </c>
      <c r="B47" s="19">
        <f>(E6*0.1)*B46/100</f>
        <v>0.3326643102947203</v>
      </c>
      <c r="C47" s="23">
        <f>B47*E6</f>
        <v>27.943802064756508</v>
      </c>
      <c r="D47" s="33">
        <f>B47*E6*E17</f>
        <v>586.8198433598867</v>
      </c>
      <c r="E47" s="30"/>
      <c r="F47" s="30"/>
      <c r="G47" s="1"/>
    </row>
    <row r="48" spans="1:7" ht="15.75">
      <c r="A48" s="18" t="s">
        <v>42</v>
      </c>
      <c r="B48" s="48">
        <f>B46+B47</f>
        <v>4.2929537185652</v>
      </c>
      <c r="C48" s="19">
        <f>C46+C47</f>
        <v>360.60811235947676</v>
      </c>
      <c r="D48" s="19">
        <f>D46+D47</f>
        <v>7572.770359549012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6985.950516189126</v>
      </c>
      <c r="B51" s="25">
        <f>B20</f>
        <v>2376.99</v>
      </c>
      <c r="C51" s="26">
        <f>B21</f>
        <v>1663.8929999999998</v>
      </c>
      <c r="D51" s="25">
        <f>B45</f>
        <v>419.1570309713475</v>
      </c>
      <c r="E51" s="25">
        <f>B35/12*B40</f>
        <v>1557.82020744</v>
      </c>
      <c r="F51" s="25">
        <f>B43</f>
        <v>472.5</v>
      </c>
      <c r="G51" s="25">
        <f>A51-B51-C51-D51-E51-F51</f>
        <v>495.5902777777783</v>
      </c>
    </row>
    <row r="52" spans="1:7" ht="15">
      <c r="A52" s="37">
        <v>1</v>
      </c>
      <c r="B52" s="37">
        <f aca="true" t="shared" si="0" ref="B52:G52">B51/$A$51</f>
        <v>0.34025291110946215</v>
      </c>
      <c r="C52" s="37">
        <f t="shared" si="0"/>
        <v>0.2381770377766235</v>
      </c>
      <c r="D52" s="37">
        <f t="shared" si="0"/>
        <v>0.06</v>
      </c>
      <c r="E52" s="37">
        <f t="shared" si="0"/>
        <v>0.22299330689931648</v>
      </c>
      <c r="F52" s="37">
        <f t="shared" si="0"/>
        <v>0.06763574962419736</v>
      </c>
      <c r="G52" s="37">
        <f t="shared" si="0"/>
        <v>0.07094099459040049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360.60811235947676</v>
      </c>
      <c r="D58" s="30"/>
      <c r="E58" s="30"/>
      <c r="F58" s="30"/>
      <c r="G58" s="30"/>
    </row>
    <row r="62" s="47" customFormat="1" ht="15"/>
  </sheetData>
  <sheetProtection/>
  <mergeCells count="18">
    <mergeCell ref="A9:D9"/>
    <mergeCell ref="A55:G55"/>
    <mergeCell ref="A15:D15"/>
    <mergeCell ref="A16:D16"/>
    <mergeCell ref="A17:D17"/>
    <mergeCell ref="A19:F19"/>
    <mergeCell ref="A1:H1"/>
    <mergeCell ref="A5:D5"/>
    <mergeCell ref="A6:D6"/>
    <mergeCell ref="A7:D7"/>
    <mergeCell ref="A8:D8"/>
    <mergeCell ref="A25:H25"/>
    <mergeCell ref="A39:B39"/>
    <mergeCell ref="A10:D10"/>
    <mergeCell ref="A11:D11"/>
    <mergeCell ref="B12:E12"/>
    <mergeCell ref="A13:D13"/>
    <mergeCell ref="A14:D14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61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21</v>
      </c>
      <c r="C4" s="42">
        <v>0</v>
      </c>
      <c r="D4" s="42">
        <v>0</v>
      </c>
      <c r="E4" s="42">
        <f>SUM(B4:D4)</f>
        <v>21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90</v>
      </c>
      <c r="F5" s="1"/>
      <c r="G5" s="1"/>
    </row>
    <row r="6" spans="1:7" ht="15">
      <c r="A6" s="52" t="s">
        <v>5</v>
      </c>
      <c r="B6" s="53"/>
      <c r="C6" s="53"/>
      <c r="D6" s="54"/>
      <c r="E6" s="12">
        <v>90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90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9.920634920634921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3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3395.6999999999994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2376.9899999999993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5772.689999999999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8828.298388529549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529.697903311773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4.671057348428333</v>
      </c>
      <c r="C46" s="23">
        <f>B46*E7</f>
        <v>420.39516135854996</v>
      </c>
      <c r="D46" s="33">
        <f>B46*E7*E17</f>
        <v>8828.298388529549</v>
      </c>
      <c r="E46" s="30"/>
      <c r="F46" s="30"/>
      <c r="G46" s="1"/>
    </row>
    <row r="47" spans="1:7" ht="15.75">
      <c r="A47" s="29" t="s">
        <v>40</v>
      </c>
      <c r="B47" s="19">
        <f>(E6*0.1)*B46/100</f>
        <v>0.42039516135854993</v>
      </c>
      <c r="C47" s="23">
        <f>B47*E6</f>
        <v>37.83556452226949</v>
      </c>
      <c r="D47" s="33">
        <f>B47*E6*E17</f>
        <v>794.5468549676593</v>
      </c>
      <c r="E47" s="30"/>
      <c r="F47" s="30"/>
      <c r="G47" s="1"/>
    </row>
    <row r="48" spans="1:7" ht="15.75">
      <c r="A48" s="18" t="s">
        <v>42</v>
      </c>
      <c r="B48" s="48">
        <f>B46+B47</f>
        <v>5.091452509786882</v>
      </c>
      <c r="C48" s="19">
        <f>C46+C47</f>
        <v>458.2307258808195</v>
      </c>
      <c r="D48" s="19">
        <f>D46+D47</f>
        <v>9622.845243497208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8828.298388529549</v>
      </c>
      <c r="B51" s="25">
        <f>B20</f>
        <v>3395.6999999999994</v>
      </c>
      <c r="C51" s="26">
        <f>B21</f>
        <v>2376.9899999999993</v>
      </c>
      <c r="D51" s="25">
        <f>B45</f>
        <v>529.697903311773</v>
      </c>
      <c r="E51" s="25">
        <f>B35/12*B40</f>
        <v>1557.82020744</v>
      </c>
      <c r="F51" s="25">
        <f>B43</f>
        <v>472.5</v>
      </c>
      <c r="G51" s="25">
        <f>A51-B51-C51-D51-E51-F51</f>
        <v>495.5902777777778</v>
      </c>
    </row>
    <row r="52" spans="1:7" ht="15">
      <c r="A52" s="37">
        <v>1</v>
      </c>
      <c r="B52" s="37">
        <f aca="true" t="shared" si="0" ref="B52:G52">B51/$A$51</f>
        <v>0.3846381092433364</v>
      </c>
      <c r="C52" s="37">
        <f t="shared" si="0"/>
        <v>0.26924667647033546</v>
      </c>
      <c r="D52" s="37">
        <f t="shared" si="0"/>
        <v>0.060000000000000005</v>
      </c>
      <c r="E52" s="37">
        <f t="shared" si="0"/>
        <v>0.17645758433630293</v>
      </c>
      <c r="F52" s="37">
        <f t="shared" si="0"/>
        <v>0.05352107271474997</v>
      </c>
      <c r="G52" s="37">
        <f t="shared" si="0"/>
        <v>0.05613655723527531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458.2307258808195</v>
      </c>
      <c r="D58" s="30"/>
      <c r="E58" s="30"/>
      <c r="F58" s="30"/>
      <c r="G58" s="30"/>
    </row>
    <row r="62" s="47" customFormat="1" ht="15"/>
  </sheetData>
  <sheetProtection/>
  <mergeCells count="18">
    <mergeCell ref="A9:D9"/>
    <mergeCell ref="A55:G55"/>
    <mergeCell ref="A15:D15"/>
    <mergeCell ref="A16:D16"/>
    <mergeCell ref="A17:D17"/>
    <mergeCell ref="A19:F19"/>
    <mergeCell ref="A1:H1"/>
    <mergeCell ref="A5:D5"/>
    <mergeCell ref="A6:D6"/>
    <mergeCell ref="A7:D7"/>
    <mergeCell ref="A8:D8"/>
    <mergeCell ref="A25:H25"/>
    <mergeCell ref="A39:B39"/>
    <mergeCell ref="A10:D10"/>
    <mergeCell ref="A11:D11"/>
    <mergeCell ref="B12:E12"/>
    <mergeCell ref="A13:D13"/>
    <mergeCell ref="A14:D14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62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7</v>
      </c>
      <c r="C4" s="42">
        <v>0</v>
      </c>
      <c r="D4" s="42">
        <v>0</v>
      </c>
      <c r="E4" s="42">
        <f>SUM(B4:D4)</f>
        <v>7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50</v>
      </c>
      <c r="F5" s="1"/>
      <c r="G5" s="1"/>
    </row>
    <row r="6" spans="1:7" ht="15">
      <c r="A6" s="52" t="s">
        <v>5</v>
      </c>
      <c r="B6" s="53"/>
      <c r="C6" s="53"/>
      <c r="D6" s="54"/>
      <c r="E6" s="12">
        <v>50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50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29.761904761904763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6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943.25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660.275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1603.525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4393.016473635935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263.5809884181561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4.183825212986605</v>
      </c>
      <c r="C46" s="23">
        <f>B46*E7</f>
        <v>209.19126064933025</v>
      </c>
      <c r="D46" s="33">
        <f>B46*E7*E17</f>
        <v>4393.016473635935</v>
      </c>
      <c r="E46" s="30"/>
      <c r="F46" s="30"/>
      <c r="G46" s="1"/>
    </row>
    <row r="47" spans="1:7" ht="15.75">
      <c r="A47" s="29" t="s">
        <v>40</v>
      </c>
      <c r="B47" s="19">
        <f>(E6*0.1)*B46/100</f>
        <v>0.20919126064933025</v>
      </c>
      <c r="C47" s="23">
        <f>B47*E6</f>
        <v>10.459563032466512</v>
      </c>
      <c r="D47" s="33">
        <f>B47*E6*E17</f>
        <v>219.65082368179677</v>
      </c>
      <c r="E47" s="30"/>
      <c r="F47" s="30"/>
      <c r="G47" s="1"/>
    </row>
    <row r="48" spans="1:7" ht="15.75">
      <c r="A48" s="18" t="s">
        <v>42</v>
      </c>
      <c r="B48" s="48">
        <f>B46+B47</f>
        <v>4.393016473635935</v>
      </c>
      <c r="C48" s="19">
        <f>C46+C47</f>
        <v>219.65082368179677</v>
      </c>
      <c r="D48" s="19">
        <f>D46+D47</f>
        <v>4612.667297317732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4393.016473635935</v>
      </c>
      <c r="B51" s="25">
        <f>B20</f>
        <v>943.25</v>
      </c>
      <c r="C51" s="26">
        <f>B21</f>
        <v>660.275</v>
      </c>
      <c r="D51" s="25">
        <f>B45</f>
        <v>263.5809884181561</v>
      </c>
      <c r="E51" s="25">
        <f>B35/12*B40</f>
        <v>1557.82020744</v>
      </c>
      <c r="F51" s="25">
        <f>B43</f>
        <v>472.5</v>
      </c>
      <c r="G51" s="25">
        <f>A51-B51-C51-D51-E51-F51</f>
        <v>495.5902777777783</v>
      </c>
    </row>
    <row r="52" spans="1:7" ht="15">
      <c r="A52" s="37">
        <v>1</v>
      </c>
      <c r="B52" s="37">
        <f aca="true" t="shared" si="0" ref="B52:G52">B51/$A$51</f>
        <v>0.21471578940365488</v>
      </c>
      <c r="C52" s="37">
        <f t="shared" si="0"/>
        <v>0.1503010525825584</v>
      </c>
      <c r="D52" s="37">
        <f t="shared" si="0"/>
        <v>0.060000000000000005</v>
      </c>
      <c r="E52" s="37">
        <f t="shared" si="0"/>
        <v>0.3546128763206414</v>
      </c>
      <c r="F52" s="37">
        <f t="shared" si="0"/>
        <v>0.1075570744693633</v>
      </c>
      <c r="G52" s="37">
        <f t="shared" si="0"/>
        <v>0.1128132072237819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219.65082368179677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5:D5"/>
    <mergeCell ref="A6:D6"/>
    <mergeCell ref="A7:D7"/>
    <mergeCell ref="A8:D8"/>
    <mergeCell ref="A9:D9"/>
    <mergeCell ref="A10:D10"/>
    <mergeCell ref="A11:D11"/>
    <mergeCell ref="B12:E12"/>
    <mergeCell ref="A13:D13"/>
    <mergeCell ref="A14:D14"/>
    <mergeCell ref="A15:D15"/>
    <mergeCell ref="A16:D16"/>
    <mergeCell ref="A17:D17"/>
    <mergeCell ref="A19:F19"/>
    <mergeCell ref="A25:H25"/>
    <mergeCell ref="A39:B39"/>
    <mergeCell ref="A55:G55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25">
      <selection activeCell="K19" sqref="K19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5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63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13</v>
      </c>
      <c r="C4" s="42">
        <v>0</v>
      </c>
      <c r="D4" s="42">
        <v>0</v>
      </c>
      <c r="E4" s="42">
        <f>SUM(B4:D4)</f>
        <v>13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68</v>
      </c>
      <c r="F5" s="1"/>
      <c r="G5" s="1"/>
    </row>
    <row r="6" spans="1:7" ht="15">
      <c r="A6" s="52" t="s">
        <v>5</v>
      </c>
      <c r="B6" s="53"/>
      <c r="C6" s="53"/>
      <c r="D6" s="54"/>
      <c r="E6" s="12">
        <v>68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68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16.025641025641026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4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1924.2299999999998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1346.9609999999998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3271.191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6167.129239593381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370.0277543756028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4.318717954897325</v>
      </c>
      <c r="C46" s="23">
        <f>B46*E7</f>
        <v>293.6728209330181</v>
      </c>
      <c r="D46" s="33">
        <f>B46*E7*E17</f>
        <v>6167.12923959338</v>
      </c>
      <c r="E46" s="30"/>
      <c r="F46" s="30"/>
      <c r="G46" s="1"/>
    </row>
    <row r="47" spans="1:7" ht="15.75">
      <c r="A47" s="29" t="s">
        <v>40</v>
      </c>
      <c r="B47" s="19">
        <f>(E6*0.1)*B46/100</f>
        <v>0.29367282093301816</v>
      </c>
      <c r="C47" s="23">
        <f>B47*E6</f>
        <v>19.969751823445236</v>
      </c>
      <c r="D47" s="33">
        <f>B47*E6*E17</f>
        <v>419.36478829234994</v>
      </c>
      <c r="E47" s="30"/>
      <c r="F47" s="30"/>
      <c r="G47" s="1"/>
    </row>
    <row r="48" spans="1:7" ht="15.75">
      <c r="A48" s="18" t="s">
        <v>42</v>
      </c>
      <c r="B48" s="48">
        <f>B46+B47</f>
        <v>4.6123907758303435</v>
      </c>
      <c r="C48" s="19">
        <f>C46+C47</f>
        <v>313.6425727564633</v>
      </c>
      <c r="D48" s="19">
        <f>D46+D47</f>
        <v>6586.494027885729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6167.129239593381</v>
      </c>
      <c r="B51" s="25">
        <f>B20</f>
        <v>1924.2299999999998</v>
      </c>
      <c r="C51" s="26">
        <f>B21</f>
        <v>1346.9609999999998</v>
      </c>
      <c r="D51" s="25">
        <f>B45</f>
        <v>370.0277543756028</v>
      </c>
      <c r="E51" s="25">
        <f>B35/12*B40</f>
        <v>1557.82020744</v>
      </c>
      <c r="F51" s="25">
        <f>B43</f>
        <v>472.5</v>
      </c>
      <c r="G51" s="25">
        <f>A51-B51-C51-D51-E51-F51</f>
        <v>495.5902777777783</v>
      </c>
    </row>
    <row r="52" spans="1:7" ht="15">
      <c r="A52" s="37">
        <v>1</v>
      </c>
      <c r="B52" s="37">
        <f aca="true" t="shared" si="0" ref="B52:G52">B51/$A$51</f>
        <v>0.31201389256549306</v>
      </c>
      <c r="C52" s="37">
        <f t="shared" si="0"/>
        <v>0.2184097247958451</v>
      </c>
      <c r="D52" s="37">
        <f t="shared" si="0"/>
        <v>0.05999999999999999</v>
      </c>
      <c r="E52" s="37">
        <f t="shared" si="0"/>
        <v>0.2526005450702558</v>
      </c>
      <c r="F52" s="37">
        <f t="shared" si="0"/>
        <v>0.07661587452497647</v>
      </c>
      <c r="G52" s="37">
        <f t="shared" si="0"/>
        <v>0.08035996304342963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313.6425727564633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5:D5"/>
    <mergeCell ref="A6:D6"/>
    <mergeCell ref="A7:D7"/>
    <mergeCell ref="A8:D8"/>
    <mergeCell ref="A9:D9"/>
    <mergeCell ref="A10:D10"/>
    <mergeCell ref="A11:D11"/>
    <mergeCell ref="B12:E12"/>
    <mergeCell ref="A13:D13"/>
    <mergeCell ref="A14:D14"/>
    <mergeCell ref="A15:D15"/>
    <mergeCell ref="A16:D16"/>
    <mergeCell ref="A17:D17"/>
    <mergeCell ref="A19:F19"/>
    <mergeCell ref="A25:H25"/>
    <mergeCell ref="A39:B39"/>
    <mergeCell ref="A55:G55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64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16</v>
      </c>
      <c r="C4" s="42">
        <v>0</v>
      </c>
      <c r="D4" s="42">
        <v>0</v>
      </c>
      <c r="E4" s="42">
        <f>SUM(B4:D4)</f>
        <v>16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201</v>
      </c>
      <c r="F5" s="1"/>
      <c r="G5" s="1"/>
    </row>
    <row r="6" spans="1:7" ht="15">
      <c r="A6" s="52" t="s">
        <v>5</v>
      </c>
      <c r="B6" s="53"/>
      <c r="C6" s="53"/>
      <c r="D6" s="54"/>
      <c r="E6" s="12">
        <v>100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201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13.020833333333334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3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7583.73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5308.610999999999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12892.340999999999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16402.39519704019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984.1437118224114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3.8859026763895264</v>
      </c>
      <c r="C46" s="23">
        <f>B46*E7</f>
        <v>781.0664379542948</v>
      </c>
      <c r="D46" s="33">
        <f>B46*E7*E17</f>
        <v>16402.39519704019</v>
      </c>
      <c r="E46" s="30"/>
      <c r="F46" s="30"/>
      <c r="G46" s="1"/>
    </row>
    <row r="47" spans="1:7" ht="15.75">
      <c r="A47" s="29" t="s">
        <v>40</v>
      </c>
      <c r="B47" s="19">
        <f>(E6*0.1)*B46/100</f>
        <v>0.38859026763895266</v>
      </c>
      <c r="C47" s="23">
        <f>B47*E6</f>
        <v>38.859026763895265</v>
      </c>
      <c r="D47" s="33">
        <f>B47*E6*E17</f>
        <v>816.0395620418005</v>
      </c>
      <c r="E47" s="30"/>
      <c r="F47" s="30"/>
      <c r="G47" s="1"/>
    </row>
    <row r="48" spans="1:7" ht="15.75">
      <c r="A48" s="18" t="s">
        <v>42</v>
      </c>
      <c r="B48" s="48">
        <f>B46+B47</f>
        <v>4.274492944028479</v>
      </c>
      <c r="C48" s="19">
        <f>C46+C47</f>
        <v>819.92546471819</v>
      </c>
      <c r="D48" s="19">
        <f>D46+D47</f>
        <v>17218.434759081993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16402.39519704019</v>
      </c>
      <c r="B51" s="25">
        <f>B20</f>
        <v>7583.73</v>
      </c>
      <c r="C51" s="26">
        <f>B21</f>
        <v>5308.610999999999</v>
      </c>
      <c r="D51" s="25">
        <f>B45</f>
        <v>984.1437118224114</v>
      </c>
      <c r="E51" s="25">
        <f>B35/12*B40</f>
        <v>1557.82020744</v>
      </c>
      <c r="F51" s="25">
        <f>B43</f>
        <v>472.5</v>
      </c>
      <c r="G51" s="25">
        <f>A51-B51-C51-D51-E51-F51</f>
        <v>495.59027777778056</v>
      </c>
    </row>
    <row r="52" spans="1:7" ht="15">
      <c r="A52" s="37">
        <v>1</v>
      </c>
      <c r="B52" s="37">
        <f aca="true" t="shared" si="0" ref="B52:G52">B51/$A$51</f>
        <v>0.4623550346700878</v>
      </c>
      <c r="C52" s="37">
        <f t="shared" si="0"/>
        <v>0.32364852426906143</v>
      </c>
      <c r="D52" s="37">
        <f t="shared" si="0"/>
        <v>0.06</v>
      </c>
      <c r="E52" s="37">
        <f t="shared" si="0"/>
        <v>0.09497516604898708</v>
      </c>
      <c r="F52" s="37">
        <f t="shared" si="0"/>
        <v>0.02880676842155727</v>
      </c>
      <c r="G52" s="37">
        <f t="shared" si="0"/>
        <v>0.030214506590306382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819.92546471819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5:D5"/>
    <mergeCell ref="A6:D6"/>
    <mergeCell ref="A7:D7"/>
    <mergeCell ref="A8:D8"/>
    <mergeCell ref="A9:D9"/>
    <mergeCell ref="A10:D10"/>
    <mergeCell ref="A11:D11"/>
    <mergeCell ref="B12:E12"/>
    <mergeCell ref="A13:D13"/>
    <mergeCell ref="A14:D14"/>
    <mergeCell ref="A15:D15"/>
    <mergeCell ref="A16:D16"/>
    <mergeCell ref="A17:D17"/>
    <mergeCell ref="A19:F19"/>
    <mergeCell ref="A25:H25"/>
    <mergeCell ref="A39:B39"/>
    <mergeCell ref="A55:G55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65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>
        <v>16</v>
      </c>
      <c r="C4" s="42">
        <v>0</v>
      </c>
      <c r="D4" s="42">
        <v>0</v>
      </c>
      <c r="E4" s="42">
        <f>SUM(B4:D4)</f>
        <v>16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146</v>
      </c>
      <c r="F5" s="1"/>
      <c r="G5" s="1"/>
    </row>
    <row r="6" spans="1:7" ht="15">
      <c r="A6" s="52" t="s">
        <v>5</v>
      </c>
      <c r="B6" s="53"/>
      <c r="C6" s="53"/>
      <c r="D6" s="54"/>
      <c r="E6" s="12">
        <v>80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146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13.020833333333334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3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5508.579999999999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3856.005999999999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9364.585999999998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12649.46434597636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758.9678607585815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4.125722226345845</v>
      </c>
      <c r="C46" s="23">
        <f>B46*E7</f>
        <v>602.3554450464934</v>
      </c>
      <c r="D46" s="33">
        <f>B46*E7*E17</f>
        <v>12649.464345976361</v>
      </c>
      <c r="E46" s="30"/>
      <c r="F46" s="30"/>
      <c r="G46" s="1"/>
    </row>
    <row r="47" spans="1:7" ht="15.75">
      <c r="A47" s="29" t="s">
        <v>40</v>
      </c>
      <c r="B47" s="19">
        <f>(E6*0.1)*B46/100</f>
        <v>0.33005777810766757</v>
      </c>
      <c r="C47" s="23">
        <f>B47*E6</f>
        <v>26.404622248613407</v>
      </c>
      <c r="D47" s="33">
        <f>B47*E6*E17</f>
        <v>554.4970672208815</v>
      </c>
      <c r="E47" s="30"/>
      <c r="F47" s="30"/>
      <c r="G47" s="1"/>
    </row>
    <row r="48" spans="1:7" ht="15.75">
      <c r="A48" s="18" t="s">
        <v>42</v>
      </c>
      <c r="B48" s="48">
        <f>B46+B47</f>
        <v>4.455780004453512</v>
      </c>
      <c r="C48" s="19">
        <f>C46+C47</f>
        <v>628.7600672951069</v>
      </c>
      <c r="D48" s="19">
        <f>D46+D47</f>
        <v>13203.961413197243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12649.46434597636</v>
      </c>
      <c r="B51" s="25">
        <f>B20</f>
        <v>5508.579999999999</v>
      </c>
      <c r="C51" s="26">
        <f>B21</f>
        <v>3856.005999999999</v>
      </c>
      <c r="D51" s="25">
        <f>B45</f>
        <v>758.9678607585815</v>
      </c>
      <c r="E51" s="25">
        <f>B35/12*B40</f>
        <v>1557.82020744</v>
      </c>
      <c r="F51" s="25">
        <f>B43</f>
        <v>472.5</v>
      </c>
      <c r="G51" s="25">
        <f>A51-B51-C51-D51-E51-F51</f>
        <v>495.59027777777965</v>
      </c>
    </row>
    <row r="52" spans="1:7" ht="15">
      <c r="A52" s="37">
        <v>1</v>
      </c>
      <c r="B52" s="37">
        <f aca="true" t="shared" si="0" ref="B52:G52">B51/$A$51</f>
        <v>0.4354793095845368</v>
      </c>
      <c r="C52" s="37">
        <f t="shared" si="0"/>
        <v>0.3048355167091757</v>
      </c>
      <c r="D52" s="37">
        <f t="shared" si="0"/>
        <v>0.06</v>
      </c>
      <c r="E52" s="37">
        <f t="shared" si="0"/>
        <v>0.12315305730202906</v>
      </c>
      <c r="F52" s="37">
        <f t="shared" si="0"/>
        <v>0.03735336035397392</v>
      </c>
      <c r="G52" s="37">
        <f t="shared" si="0"/>
        <v>0.03917875605028452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628.7600672951069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5:D5"/>
    <mergeCell ref="A6:D6"/>
    <mergeCell ref="A7:D7"/>
    <mergeCell ref="A8:D8"/>
    <mergeCell ref="A9:D9"/>
    <mergeCell ref="A10:D10"/>
    <mergeCell ref="A11:D11"/>
    <mergeCell ref="B12:E12"/>
    <mergeCell ref="A13:D13"/>
    <mergeCell ref="A14:D14"/>
    <mergeCell ref="A15:D15"/>
    <mergeCell ref="A16:D16"/>
    <mergeCell ref="A17:D17"/>
    <mergeCell ref="A19:F19"/>
    <mergeCell ref="A25:H25"/>
    <mergeCell ref="A39:B39"/>
    <mergeCell ref="A55:G55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30.8515625" style="0" bestFit="1" customWidth="1"/>
    <col min="2" max="2" width="12.00390625" style="0" bestFit="1" customWidth="1"/>
    <col min="3" max="3" width="15.00390625" style="0" customWidth="1"/>
    <col min="4" max="4" width="16.57421875" style="0" bestFit="1" customWidth="1"/>
    <col min="5" max="5" width="23.57421875" style="0" bestFit="1" customWidth="1"/>
    <col min="6" max="6" width="16.00390625" style="0" customWidth="1"/>
    <col min="7" max="7" width="11.28125" style="0" bestFit="1" customWidth="1"/>
    <col min="8" max="9" width="10.421875" style="0" bestFit="1" customWidth="1"/>
  </cols>
  <sheetData>
    <row r="1" spans="1:8" ht="15.75">
      <c r="A1" s="61" t="s">
        <v>66</v>
      </c>
      <c r="B1" s="62"/>
      <c r="C1" s="62"/>
      <c r="D1" s="62"/>
      <c r="E1" s="62"/>
      <c r="F1" s="62"/>
      <c r="G1" s="62"/>
      <c r="H1" s="62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2" t="s">
        <v>0</v>
      </c>
      <c r="B3" s="3" t="s">
        <v>1</v>
      </c>
      <c r="C3" s="3" t="s">
        <v>2</v>
      </c>
      <c r="D3" s="3" t="s">
        <v>30</v>
      </c>
      <c r="E3" s="3" t="s">
        <v>4</v>
      </c>
      <c r="F3" s="1"/>
      <c r="G3" s="1"/>
    </row>
    <row r="4" spans="1:7" ht="15">
      <c r="A4" s="2" t="s">
        <v>3</v>
      </c>
      <c r="B4" s="42"/>
      <c r="C4" s="42">
        <v>22</v>
      </c>
      <c r="D4" s="42">
        <v>0</v>
      </c>
      <c r="E4" s="42">
        <f>SUM(B4:D4)</f>
        <v>22</v>
      </c>
      <c r="F4" s="1"/>
      <c r="G4" s="1"/>
    </row>
    <row r="5" spans="1:7" ht="15">
      <c r="A5" s="52" t="s">
        <v>39</v>
      </c>
      <c r="B5" s="53"/>
      <c r="C5" s="53"/>
      <c r="D5" s="54"/>
      <c r="E5" s="12">
        <v>188</v>
      </c>
      <c r="F5" s="1"/>
      <c r="G5" s="1"/>
    </row>
    <row r="6" spans="1:7" ht="15">
      <c r="A6" s="52" t="s">
        <v>5</v>
      </c>
      <c r="B6" s="53"/>
      <c r="C6" s="53"/>
      <c r="D6" s="54"/>
      <c r="E6" s="12">
        <v>80</v>
      </c>
      <c r="F6" s="1"/>
      <c r="G6" s="1"/>
    </row>
    <row r="7" spans="1:7" ht="15">
      <c r="A7" s="52" t="s">
        <v>6</v>
      </c>
      <c r="B7" s="53"/>
      <c r="C7" s="53"/>
      <c r="D7" s="54"/>
      <c r="E7" s="3">
        <f>E5</f>
        <v>188</v>
      </c>
      <c r="F7" s="1"/>
      <c r="G7" s="1"/>
    </row>
    <row r="8" spans="1:7" ht="15">
      <c r="A8" s="52" t="s">
        <v>34</v>
      </c>
      <c r="B8" s="53"/>
      <c r="C8" s="53"/>
      <c r="D8" s="54"/>
      <c r="E8" s="12">
        <v>3</v>
      </c>
      <c r="F8" s="1"/>
      <c r="G8" s="1"/>
    </row>
    <row r="9" spans="1:7" ht="15">
      <c r="A9" s="52" t="s">
        <v>35</v>
      </c>
      <c r="B9" s="53"/>
      <c r="C9" s="53"/>
      <c r="D9" s="54"/>
      <c r="E9" s="12">
        <v>4</v>
      </c>
      <c r="F9" s="1"/>
      <c r="G9" s="1"/>
    </row>
    <row r="10" spans="1:11" ht="15">
      <c r="A10" s="52" t="s">
        <v>38</v>
      </c>
      <c r="B10" s="53"/>
      <c r="C10" s="53"/>
      <c r="D10" s="54"/>
      <c r="E10" s="3">
        <f>E9/2+E8</f>
        <v>5</v>
      </c>
      <c r="F10" s="1"/>
      <c r="G10" s="1"/>
      <c r="H10" s="31"/>
      <c r="I10" s="1"/>
      <c r="J10" s="1"/>
      <c r="K10" s="1"/>
    </row>
    <row r="11" spans="1:11" ht="15">
      <c r="A11" s="52" t="s">
        <v>46</v>
      </c>
      <c r="B11" s="53"/>
      <c r="C11" s="53"/>
      <c r="D11" s="54"/>
      <c r="E11" s="35">
        <f>B33/12/E4</f>
        <v>9.46969696969697</v>
      </c>
      <c r="F11" s="1"/>
      <c r="G11" s="1"/>
      <c r="H11" s="31"/>
      <c r="I11" s="30"/>
      <c r="J11" s="1"/>
      <c r="K11" s="1"/>
    </row>
    <row r="12" spans="1:11" ht="15">
      <c r="A12" s="4" t="s">
        <v>7</v>
      </c>
      <c r="B12" s="55"/>
      <c r="C12" s="56"/>
      <c r="D12" s="56"/>
      <c r="E12" s="57"/>
      <c r="F12" s="1"/>
      <c r="G12" s="1"/>
      <c r="H12" s="31"/>
      <c r="I12" s="30"/>
      <c r="J12" s="1"/>
      <c r="K12" s="1"/>
    </row>
    <row r="13" spans="1:7" ht="15">
      <c r="A13" s="52" t="s">
        <v>56</v>
      </c>
      <c r="B13" s="58"/>
      <c r="C13" s="58"/>
      <c r="D13" s="59"/>
      <c r="E13" s="10">
        <v>45000</v>
      </c>
      <c r="F13" s="1"/>
      <c r="G13" s="1"/>
    </row>
    <row r="14" spans="1:7" ht="15">
      <c r="A14" s="52" t="s">
        <v>8</v>
      </c>
      <c r="B14" s="53"/>
      <c r="C14" s="53"/>
      <c r="D14" s="54"/>
      <c r="E14" s="12">
        <v>5.39</v>
      </c>
      <c r="F14" s="1"/>
      <c r="G14" s="1"/>
    </row>
    <row r="15" spans="1:7" ht="15">
      <c r="A15" s="52" t="s">
        <v>9</v>
      </c>
      <c r="B15" s="53"/>
      <c r="C15" s="53"/>
      <c r="D15" s="54"/>
      <c r="E15" s="12">
        <v>3</v>
      </c>
      <c r="F15" s="1"/>
      <c r="G15" s="1"/>
    </row>
    <row r="16" spans="1:7" ht="15">
      <c r="A16" s="52" t="s">
        <v>10</v>
      </c>
      <c r="B16" s="53"/>
      <c r="C16" s="53"/>
      <c r="D16" s="54"/>
      <c r="E16" s="12">
        <v>0.7</v>
      </c>
      <c r="F16" s="1"/>
      <c r="G16" s="1"/>
    </row>
    <row r="17" spans="1:7" ht="15">
      <c r="A17" s="52" t="s">
        <v>11</v>
      </c>
      <c r="B17" s="53"/>
      <c r="C17" s="53"/>
      <c r="D17" s="54"/>
      <c r="E17" s="12">
        <v>21</v>
      </c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.75">
      <c r="A19" s="49" t="s">
        <v>12</v>
      </c>
      <c r="B19" s="51"/>
      <c r="C19" s="51"/>
      <c r="D19" s="51"/>
      <c r="E19" s="51"/>
      <c r="F19" s="50"/>
      <c r="G19" s="1"/>
    </row>
    <row r="20" spans="1:7" ht="15">
      <c r="A20" s="4" t="s">
        <v>13</v>
      </c>
      <c r="B20" s="32">
        <f>(E17*E7*E14)/E15</f>
        <v>7093.239999999999</v>
      </c>
      <c r="C20" s="4"/>
      <c r="D20" s="4"/>
      <c r="E20" s="4" t="s">
        <v>47</v>
      </c>
      <c r="F20" s="13">
        <v>0</v>
      </c>
      <c r="G20" s="47"/>
    </row>
    <row r="21" spans="1:7" ht="15">
      <c r="A21" s="4" t="s">
        <v>14</v>
      </c>
      <c r="B21" s="32">
        <f>E16*B20</f>
        <v>4965.267999999999</v>
      </c>
      <c r="C21" s="4"/>
      <c r="D21" s="4"/>
      <c r="E21" s="4" t="s">
        <v>57</v>
      </c>
      <c r="F21" s="13">
        <v>0.06</v>
      </c>
      <c r="G21" s="47"/>
    </row>
    <row r="22" spans="1:7" ht="15">
      <c r="A22" s="4"/>
      <c r="B22" s="1"/>
      <c r="C22" s="4"/>
      <c r="D22" s="4"/>
      <c r="E22" s="45"/>
      <c r="F22" s="46"/>
      <c r="G22" s="1"/>
    </row>
    <row r="23" spans="1:7" ht="15.75">
      <c r="A23" s="3" t="s">
        <v>50</v>
      </c>
      <c r="B23" s="36">
        <f>SUM(B20:B21)</f>
        <v>12058.507999999998</v>
      </c>
      <c r="C23" s="1"/>
      <c r="D23" s="1"/>
      <c r="E23" s="4" t="s">
        <v>58</v>
      </c>
      <c r="F23" s="6">
        <f>SUM(F20:F22)</f>
        <v>0.06</v>
      </c>
      <c r="G23" s="1"/>
    </row>
    <row r="24" spans="1:7" ht="15.75">
      <c r="A24" s="21"/>
      <c r="B24" s="11"/>
      <c r="C24" s="1"/>
      <c r="D24" s="1"/>
      <c r="E24" s="1"/>
      <c r="F24" s="1"/>
      <c r="G24" s="1"/>
    </row>
    <row r="25" spans="1:8" ht="15.75">
      <c r="A25" s="49" t="s">
        <v>16</v>
      </c>
      <c r="B25" s="51"/>
      <c r="C25" s="51"/>
      <c r="D25" s="51"/>
      <c r="E25" s="51"/>
      <c r="F25" s="51"/>
      <c r="G25" s="51"/>
      <c r="H25" s="50"/>
    </row>
    <row r="26" spans="1:8" ht="15">
      <c r="A26" s="43"/>
      <c r="B26" s="44"/>
      <c r="C26" s="1"/>
      <c r="D26" s="3" t="s">
        <v>20</v>
      </c>
      <c r="E26" s="3" t="s">
        <v>49</v>
      </c>
      <c r="F26" s="3" t="s">
        <v>45</v>
      </c>
      <c r="G26" s="3" t="s">
        <v>21</v>
      </c>
      <c r="H26" s="3" t="s">
        <v>4</v>
      </c>
    </row>
    <row r="27" spans="1:8" ht="15.75">
      <c r="A27" s="4" t="s">
        <v>55</v>
      </c>
      <c r="B27" s="10">
        <v>400</v>
      </c>
      <c r="C27" s="1"/>
      <c r="D27" s="14">
        <v>2070.27</v>
      </c>
      <c r="E27" s="8">
        <f>D27*0.0833</f>
        <v>172.45349099999999</v>
      </c>
      <c r="F27" s="8">
        <f>D27*0.1111</f>
        <v>230.006997</v>
      </c>
      <c r="G27" s="8">
        <f>(D27+E27+F27)*0.08</f>
        <v>197.81843904</v>
      </c>
      <c r="H27" s="39">
        <f>SUM(D27:G27)</f>
        <v>2670.54892704</v>
      </c>
    </row>
    <row r="28" spans="1:8" ht="15">
      <c r="A28" s="4" t="s">
        <v>17</v>
      </c>
      <c r="B28" s="10">
        <v>80</v>
      </c>
      <c r="C28" s="1"/>
      <c r="D28" s="1"/>
      <c r="E28" s="1"/>
      <c r="F28" s="1"/>
      <c r="G28" s="1"/>
      <c r="H28" s="1"/>
    </row>
    <row r="29" spans="1:8" ht="15">
      <c r="A29" s="4" t="s">
        <v>18</v>
      </c>
      <c r="B29" s="10">
        <v>6680</v>
      </c>
      <c r="C29" s="1"/>
      <c r="D29" s="38"/>
      <c r="E29" s="38"/>
      <c r="F29" s="38"/>
      <c r="G29" s="1"/>
      <c r="H29" s="1"/>
    </row>
    <row r="30" spans="1:8" ht="15">
      <c r="A30" s="4" t="s">
        <v>44</v>
      </c>
      <c r="B30" s="10">
        <v>535</v>
      </c>
      <c r="C30" s="1"/>
      <c r="D30" s="38"/>
      <c r="E30" s="38"/>
      <c r="F30" s="38"/>
      <c r="G30" s="1"/>
      <c r="H30" s="1"/>
    </row>
    <row r="31" spans="1:8" ht="15">
      <c r="A31" s="43"/>
      <c r="B31" s="44"/>
      <c r="C31" s="1"/>
      <c r="D31" s="38"/>
      <c r="E31" s="38"/>
      <c r="F31" s="38"/>
      <c r="G31" s="1"/>
      <c r="H31" s="1"/>
    </row>
    <row r="32" spans="1:7" ht="15">
      <c r="A32" s="4" t="s">
        <v>52</v>
      </c>
      <c r="B32" s="34">
        <v>0</v>
      </c>
      <c r="C32" s="1"/>
      <c r="D32" s="1"/>
      <c r="E32" s="1"/>
      <c r="F32" s="1"/>
      <c r="G32" s="1"/>
    </row>
    <row r="33" spans="1:7" ht="15">
      <c r="A33" s="4" t="s">
        <v>48</v>
      </c>
      <c r="B33" s="10">
        <v>2500</v>
      </c>
      <c r="C33" s="1"/>
      <c r="D33" s="1"/>
      <c r="E33" s="1"/>
      <c r="F33" s="1"/>
      <c r="G33" s="1"/>
    </row>
    <row r="34" spans="1:7" ht="15">
      <c r="A34" s="4" t="s">
        <v>33</v>
      </c>
      <c r="B34" s="10">
        <v>1</v>
      </c>
      <c r="C34" s="1"/>
      <c r="D34" s="1"/>
      <c r="E34" s="1"/>
      <c r="F34" s="1"/>
      <c r="G34" s="1"/>
    </row>
    <row r="35" spans="1:7" ht="15">
      <c r="A35" s="4" t="s">
        <v>19</v>
      </c>
      <c r="B35" s="5">
        <f>H27*12*B34</f>
        <v>32046.58712448</v>
      </c>
      <c r="C35" s="1"/>
      <c r="D35" s="11"/>
      <c r="E35" s="1"/>
      <c r="F35" s="1"/>
      <c r="G35" s="1"/>
    </row>
    <row r="36" spans="1:7" ht="15">
      <c r="A36" s="4" t="s">
        <v>51</v>
      </c>
      <c r="B36" s="5">
        <f>SUM(B26:B33)+B35</f>
        <v>42241.58712448</v>
      </c>
      <c r="C36" s="1"/>
      <c r="D36" s="1"/>
      <c r="E36" s="1"/>
      <c r="F36" s="1"/>
      <c r="G36" s="1"/>
    </row>
    <row r="37" spans="1:7" ht="15">
      <c r="A37" s="4" t="s">
        <v>26</v>
      </c>
      <c r="B37" s="5">
        <f>B36/12*B40</f>
        <v>2053.410485217778</v>
      </c>
      <c r="C37" s="1"/>
      <c r="D37" s="1"/>
      <c r="E37" s="1"/>
      <c r="F37" s="1"/>
      <c r="G37" s="1"/>
    </row>
    <row r="38" spans="1:7" ht="15">
      <c r="A38" s="22"/>
      <c r="B38" s="11"/>
      <c r="C38" s="1"/>
      <c r="D38" s="1"/>
      <c r="E38" s="1"/>
      <c r="F38" s="1"/>
      <c r="G38" s="1"/>
    </row>
    <row r="39" spans="1:7" ht="15.75">
      <c r="A39" s="49" t="s">
        <v>32</v>
      </c>
      <c r="B39" s="50"/>
      <c r="C39" s="1"/>
      <c r="D39" s="1"/>
      <c r="E39" s="1"/>
      <c r="F39" s="1"/>
      <c r="G39" s="1"/>
    </row>
    <row r="40" spans="1:7" ht="15">
      <c r="A40" s="15" t="s">
        <v>54</v>
      </c>
      <c r="B40" s="16">
        <f>E10*E17/180</f>
        <v>0.5833333333333334</v>
      </c>
      <c r="C40" s="1"/>
      <c r="D40" s="1"/>
      <c r="E40" s="1"/>
      <c r="F40" s="1"/>
      <c r="G40" s="1"/>
    </row>
    <row r="41" spans="1:7" ht="15">
      <c r="A41" s="15" t="s">
        <v>23</v>
      </c>
      <c r="B41" s="9">
        <v>0.18</v>
      </c>
      <c r="C41" s="1"/>
      <c r="D41" s="1"/>
      <c r="E41" s="1"/>
      <c r="F41" s="1"/>
      <c r="G41" s="1"/>
    </row>
    <row r="42" spans="1:7" ht="15">
      <c r="A42" s="15" t="s">
        <v>24</v>
      </c>
      <c r="B42" s="17">
        <f>B41*E13*B40</f>
        <v>4725</v>
      </c>
      <c r="C42" s="1"/>
      <c r="D42" s="1"/>
      <c r="E42" s="1"/>
      <c r="F42" s="1"/>
      <c r="G42" s="1"/>
    </row>
    <row r="43" spans="1:7" ht="15">
      <c r="A43" s="15" t="s">
        <v>25</v>
      </c>
      <c r="B43" s="17">
        <f>B42/10</f>
        <v>472.5</v>
      </c>
      <c r="C43" s="1"/>
      <c r="D43" s="1"/>
      <c r="E43" s="1"/>
      <c r="F43" s="1"/>
      <c r="G43" s="1"/>
    </row>
    <row r="44" spans="1:7" ht="15.75">
      <c r="A44" s="18" t="s">
        <v>22</v>
      </c>
      <c r="B44" s="19">
        <f>(B43+B37+B23)/(1-F23)</f>
        <v>15515.338814061464</v>
      </c>
      <c r="C44" s="1"/>
      <c r="D44" s="1"/>
      <c r="E44" s="1"/>
      <c r="F44" s="1"/>
      <c r="G44" s="1"/>
    </row>
    <row r="45" spans="1:7" ht="15.75">
      <c r="A45" s="15" t="s">
        <v>15</v>
      </c>
      <c r="B45" s="17">
        <f>F23*B44</f>
        <v>930.9203288436878</v>
      </c>
      <c r="C45" s="7" t="s">
        <v>37</v>
      </c>
      <c r="D45" s="7" t="s">
        <v>36</v>
      </c>
      <c r="E45" s="30"/>
      <c r="F45" s="1"/>
      <c r="G45" s="1"/>
    </row>
    <row r="46" spans="1:7" ht="15.75">
      <c r="A46" s="18" t="s">
        <v>41</v>
      </c>
      <c r="B46" s="19">
        <f>B44/(E17*E7)</f>
        <v>3.9299237117683545</v>
      </c>
      <c r="C46" s="23">
        <f>B46*E7</f>
        <v>738.8256578124507</v>
      </c>
      <c r="D46" s="33">
        <f>B46*E7*E17</f>
        <v>15515.338814061464</v>
      </c>
      <c r="E46" s="30"/>
      <c r="F46" s="30"/>
      <c r="G46" s="1"/>
    </row>
    <row r="47" spans="1:7" ht="15.75">
      <c r="A47" s="29" t="s">
        <v>40</v>
      </c>
      <c r="B47" s="19">
        <f>(E6*0.1)*B46/100</f>
        <v>0.31439389694146835</v>
      </c>
      <c r="C47" s="23">
        <f>B47*E6</f>
        <v>25.15151175531747</v>
      </c>
      <c r="D47" s="33">
        <f>B47*E6*E17</f>
        <v>528.1817468616669</v>
      </c>
      <c r="E47" s="30"/>
      <c r="F47" s="30"/>
      <c r="G47" s="1"/>
    </row>
    <row r="48" spans="1:7" ht="15.75">
      <c r="A48" s="18" t="s">
        <v>42</v>
      </c>
      <c r="B48" s="48">
        <f>B46+B47</f>
        <v>4.244317608709823</v>
      </c>
      <c r="C48" s="19">
        <f>C46+C47</f>
        <v>763.9771695677681</v>
      </c>
      <c r="D48" s="19">
        <f>D46+D47</f>
        <v>16043.52056092313</v>
      </c>
      <c r="E48" s="30"/>
      <c r="F48" s="30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.75">
      <c r="A50" s="24" t="s">
        <v>43</v>
      </c>
      <c r="B50" s="24" t="s">
        <v>27</v>
      </c>
      <c r="C50" s="24" t="s">
        <v>28</v>
      </c>
      <c r="D50" s="24" t="s">
        <v>15</v>
      </c>
      <c r="E50" s="24" t="s">
        <v>31</v>
      </c>
      <c r="F50" s="24" t="s">
        <v>24</v>
      </c>
      <c r="G50" s="24" t="s">
        <v>29</v>
      </c>
    </row>
    <row r="51" spans="1:7" ht="15">
      <c r="A51" s="25">
        <f>B44</f>
        <v>15515.338814061464</v>
      </c>
      <c r="B51" s="25">
        <f>B20</f>
        <v>7093.239999999999</v>
      </c>
      <c r="C51" s="26">
        <f>B21</f>
        <v>4965.267999999999</v>
      </c>
      <c r="D51" s="25">
        <f>B45</f>
        <v>930.9203288436878</v>
      </c>
      <c r="E51" s="25">
        <f>B35/12*B40</f>
        <v>1557.82020744</v>
      </c>
      <c r="F51" s="25">
        <f>B43</f>
        <v>472.5</v>
      </c>
      <c r="G51" s="25">
        <f>A51-B51-C51-D51-E51-F51</f>
        <v>495.5902777777774</v>
      </c>
    </row>
    <row r="52" spans="1:7" ht="15">
      <c r="A52" s="37">
        <v>1</v>
      </c>
      <c r="B52" s="37">
        <f aca="true" t="shared" si="0" ref="B52:G52">B51/$A$51</f>
        <v>0.45717596534672095</v>
      </c>
      <c r="C52" s="37">
        <f t="shared" si="0"/>
        <v>0.32002317574270467</v>
      </c>
      <c r="D52" s="37">
        <f t="shared" si="0"/>
        <v>0.06</v>
      </c>
      <c r="E52" s="37">
        <f t="shared" si="0"/>
        <v>0.10040516846645697</v>
      </c>
      <c r="F52" s="37">
        <f t="shared" si="0"/>
        <v>0.03045373392502237</v>
      </c>
      <c r="G52" s="37">
        <f t="shared" si="0"/>
        <v>0.03194195651909494</v>
      </c>
    </row>
    <row r="53" spans="1:7" ht="15">
      <c r="A53" s="30"/>
      <c r="B53" s="30"/>
      <c r="C53" s="30"/>
      <c r="D53" s="30"/>
      <c r="E53" s="30"/>
      <c r="F53" s="30"/>
      <c r="G53" s="30"/>
    </row>
    <row r="54" spans="1:7" ht="15.75">
      <c r="A54" s="27"/>
      <c r="B54" s="30"/>
      <c r="C54" s="30"/>
      <c r="D54" s="30"/>
      <c r="E54" s="30"/>
      <c r="F54" s="30"/>
      <c r="G54" s="30"/>
    </row>
    <row r="55" spans="1:8" ht="15">
      <c r="A55" s="60"/>
      <c r="B55" s="60"/>
      <c r="C55" s="60"/>
      <c r="D55" s="60"/>
      <c r="E55" s="60"/>
      <c r="F55" s="60"/>
      <c r="G55" s="60"/>
      <c r="H55" s="22"/>
    </row>
    <row r="56" spans="1:8" ht="15">
      <c r="A56" s="28"/>
      <c r="B56" s="30"/>
      <c r="C56" s="30"/>
      <c r="D56" s="30"/>
      <c r="E56" s="30"/>
      <c r="F56" s="30"/>
      <c r="G56" s="30"/>
      <c r="H56" s="40"/>
    </row>
    <row r="57" spans="1:7" ht="15">
      <c r="A57" s="28"/>
      <c r="B57" s="30"/>
      <c r="C57" s="30"/>
      <c r="D57" s="30"/>
      <c r="E57" s="30"/>
      <c r="F57" s="30"/>
      <c r="G57" s="30"/>
    </row>
    <row r="58" spans="1:7" ht="15">
      <c r="A58" s="28" t="s">
        <v>53</v>
      </c>
      <c r="B58" s="30"/>
      <c r="C58" s="41">
        <f>C48</f>
        <v>763.9771695677681</v>
      </c>
      <c r="D58" s="30"/>
      <c r="E58" s="30"/>
      <c r="F58" s="30"/>
      <c r="G58" s="30"/>
    </row>
    <row r="62" s="47" customFormat="1" ht="15"/>
  </sheetData>
  <sheetProtection/>
  <mergeCells count="18">
    <mergeCell ref="A1:H1"/>
    <mergeCell ref="A5:D5"/>
    <mergeCell ref="A6:D6"/>
    <mergeCell ref="A7:D7"/>
    <mergeCell ref="A8:D8"/>
    <mergeCell ref="A9:D9"/>
    <mergeCell ref="A10:D10"/>
    <mergeCell ref="A11:D11"/>
    <mergeCell ref="B12:E12"/>
    <mergeCell ref="A13:D13"/>
    <mergeCell ref="A14:D14"/>
    <mergeCell ref="A15:D15"/>
    <mergeCell ref="A16:D16"/>
    <mergeCell ref="A17:D17"/>
    <mergeCell ref="A19:F19"/>
    <mergeCell ref="A25:H25"/>
    <mergeCell ref="A39:B39"/>
    <mergeCell ref="A55:G55"/>
  </mergeCells>
  <printOptions/>
  <pageMargins left="0.7874015748031497" right="0.7874015748031497" top="1.968503937007874" bottom="0.984251968503937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</cp:lastModifiedBy>
  <cp:lastPrinted>2020-03-13T12:17:53Z</cp:lastPrinted>
  <dcterms:created xsi:type="dcterms:W3CDTF">2001-09-26T13:41:33Z</dcterms:created>
  <dcterms:modified xsi:type="dcterms:W3CDTF">2022-01-21T11:57:19Z</dcterms:modified>
  <cp:category/>
  <cp:version/>
  <cp:contentType/>
  <cp:contentStatus/>
</cp:coreProperties>
</file>